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березень" sheetId="1" r:id="rId1"/>
    <sheet name="лютий" sheetId="2" r:id="rId2"/>
    <sheet name="січень-2" sheetId="3" r:id="rId3"/>
    <sheet name="січень 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<sst xmlns="http://schemas.openxmlformats.org/spreadsheetml/2006/main" count="707" uniqueCount="236">
  <si>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</si>
  <si>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</si>
  <si>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</si>
  <si>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</si>
  <si>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</si>
  <si>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</si>
  <si>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</si>
  <si>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</si>
  <si>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</si>
  <si>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</si>
  <si>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</si>
  <si>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</si>
  <si>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</si>
  <si>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</si>
  <si>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</si>
  <si>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</si>
  <si>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</si>
  <si>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</si>
  <si>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</si>
  <si>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</si>
  <si>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</si>
  <si>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</si>
  <si>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</si>
  <si>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</si>
  <si>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</si>
  <si>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</si>
  <si>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</si>
  <si>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</si>
  <si>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</si>
  <si>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</si>
  <si>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</si>
  <si>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</si>
  <si>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</si>
  <si>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</si>
  <si>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</si>
  <si>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</si>
  <si>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</si>
  <si>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</si>
  <si>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</si>
  <si>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</si>
  <si>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</si>
  <si>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</si>
  <si>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</si>
  <si>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</si>
  <si>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</si>
  <si>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</si>
  <si>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</si>
  <si>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</si>
  <si>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</si>
  <si>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</si>
  <si>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</si>
  <si>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</si>
  <si>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</si>
  <si>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</si>
  <si>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</si>
  <si>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</si>
  <si>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</si>
  <si>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</si>
  <si>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</si>
  <si>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</si>
  <si>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</si>
  <si>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</si>
  <si>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</si>
  <si>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</si>
  <si>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</si>
  <si>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</si>
  <si>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</si>
  <si>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</si>
  <si>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</si>
  <si>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</si>
  <si>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</si>
  <si>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</si>
  <si>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</si>
  <si>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</si>
  <si>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</si>
  <si>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</si>
  <si>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</si>
  <si>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</si>
  <si>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</si>
  <si>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</si>
  <si>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</si>
  <si>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</si>
  <si>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</si>
  <si>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</si>
  <si>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</si>
  <si>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</si>
  <si>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</si>
  <si>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</si>
  <si>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</si>
  <si>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</si>
  <si>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</si>
  <si>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</si>
  <si>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</si>
  <si>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</si>
  <si>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</si>
  <si>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</si>
  <si>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</si>
  <si>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</si>
  <si>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</si>
  <si>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</si>
  <si>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</si>
  <si>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</si>
  <si>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</si>
  <si>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</si>
  <si>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</si>
  <si>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</si>
  <si>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</si>
  <si>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</si>
  <si>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</si>
  <si>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</si>
  <si>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</si>
  <si>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</si>
  <si>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</si>
  <si>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</si>
  <si>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</si>
  <si>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</si>
  <si>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</si>
  <si>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</si>
  <si>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</si>
  <si>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</si>
  <si>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</si>
  <si>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</si>
  <si>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</si>
  <si>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</si>
  <si>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</si>
  <si>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</si>
  <si>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</si>
  <si>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</si>
  <si>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</si>
  <si>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</si>
  <si>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</si>
  <si>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</si>
  <si>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</si>
  <si>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</si>
  <si>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</si>
  <si>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</si>
  <si>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</si>
  <si>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</si>
  <si>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</si>
  <si>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</si>
  <si>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</si>
  <si>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</si>
  <si>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</si>
  <si>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</si>
  <si>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</si>
  <si>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</si>
  <si>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</si>
  <si>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</si>
  <si>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</si>
  <si>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</si>
  <si>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</si>
  <si>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</si>
  <si>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</si>
  <si>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</si>
  <si>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</si>
  <si>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</si>
  <si>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</si>
  <si>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</si>
  <si>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</si>
  <si>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</si>
  <si>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</si>
  <si>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</si>
  <si>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</si>
  <si>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</si>
  <si>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</si>
  <si>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</si>
  <si>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</si>
  <si>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</si>
  <si>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</si>
  <si>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</si>
  <si>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</si>
  <si>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</si>
  <si>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</si>
  <si>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</si>
  <si>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</si>
  <si>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</si>
  <si>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</si>
  <si>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</si>
  <si>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</si>
  <si>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</si>
  <si>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</si>
  <si>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</si>
  <si>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</si>
  <si>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</si>
  <si>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</si>
  <si>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</si>
  <si>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</si>
  <si>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</si>
  <si>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</si>
  <si>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</si>
  <si>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</si>
  <si>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</si>
  <si>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</si>
  <si>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</si>
  <si>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</si>
  <si>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</si>
  <si>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</si>
  <si>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</si>
  <si>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</si>
  <si>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</si>
  <si>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</si>
  <si>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</si>
  <si>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</si>
  <si>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</si>
  <si>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</si>
  <si>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</si>
  <si>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</si>
  <si>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</si>
  <si>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</si>
  <si>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</si>
  <si>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</si>
  <si>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</si>
  <si>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</si>
  <si>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</si>
  <si>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</si>
  <si>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</si>
  <si>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</si>
  <si>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</si>
  <si>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</si>
  <si>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</si>
  <si>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</si>
  <si>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</si>
  <si>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</si>
  <si>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</si>
  <si>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</si>
  <si>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</si>
  <si>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</si>
  <si>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</si>
  <si>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</si>
  <si>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</si>
  <si>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</si>
  <si>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</si>
  <si>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</si>
  <si>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</si>
  <si>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25.03.2015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</si>
  <si>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24.03.15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</si>
</sst>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9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114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I107" sqref="I107:I10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181" t="s">
        <v>234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17"/>
      <c r="R1" s="118"/>
    </row>
    <row r="2" spans="2:18" s="1" customFormat="1" ht="15.75" customHeight="1">
      <c r="B2" s="182"/>
      <c r="C2" s="182"/>
      <c r="D2" s="18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83"/>
      <c r="B3" s="185"/>
      <c r="C3" s="186" t="s">
        <v>0</v>
      </c>
      <c r="D3" s="187" t="s">
        <v>216</v>
      </c>
      <c r="E3" s="40"/>
      <c r="F3" s="188" t="s">
        <v>107</v>
      </c>
      <c r="G3" s="189"/>
      <c r="H3" s="189"/>
      <c r="I3" s="189"/>
      <c r="J3" s="190"/>
      <c r="K3" s="114"/>
      <c r="L3" s="114"/>
      <c r="M3" s="191" t="s">
        <v>231</v>
      </c>
      <c r="N3" s="194" t="s">
        <v>232</v>
      </c>
      <c r="O3" s="194"/>
      <c r="P3" s="194"/>
      <c r="Q3" s="194"/>
      <c r="R3" s="194"/>
    </row>
    <row r="4" spans="1:18" ht="22.5" customHeight="1">
      <c r="A4" s="183"/>
      <c r="B4" s="185"/>
      <c r="C4" s="186"/>
      <c r="D4" s="187"/>
      <c r="E4" s="195" t="s">
        <v>228</v>
      </c>
      <c r="F4" s="199" t="s">
        <v>116</v>
      </c>
      <c r="G4" s="201" t="s">
        <v>229</v>
      </c>
      <c r="H4" s="203" t="s">
        <v>230</v>
      </c>
      <c r="I4" s="205" t="s">
        <v>217</v>
      </c>
      <c r="J4" s="192" t="s">
        <v>218</v>
      </c>
      <c r="K4" s="116" t="s">
        <v>172</v>
      </c>
      <c r="L4" s="121" t="s">
        <v>171</v>
      </c>
      <c r="M4" s="192"/>
      <c r="N4" s="211" t="s">
        <v>235</v>
      </c>
      <c r="O4" s="205" t="s">
        <v>136</v>
      </c>
      <c r="P4" s="213" t="s">
        <v>135</v>
      </c>
      <c r="Q4" s="122" t="s">
        <v>172</v>
      </c>
      <c r="R4" s="123" t="s">
        <v>171</v>
      </c>
    </row>
    <row r="5" spans="1:19" ht="92.25" customHeight="1">
      <c r="A5" s="184"/>
      <c r="B5" s="185"/>
      <c r="C5" s="186"/>
      <c r="D5" s="187"/>
      <c r="E5" s="196"/>
      <c r="F5" s="200"/>
      <c r="G5" s="202"/>
      <c r="H5" s="204"/>
      <c r="I5" s="206"/>
      <c r="J5" s="193"/>
      <c r="K5" s="197" t="s">
        <v>233</v>
      </c>
      <c r="L5" s="198"/>
      <c r="M5" s="193"/>
      <c r="N5" s="212"/>
      <c r="O5" s="206"/>
      <c r="P5" s="213"/>
      <c r="Q5" s="197" t="s">
        <v>176</v>
      </c>
      <c r="R5" s="19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120858.57999999999</v>
      </c>
      <c r="F8" s="18">
        <f>F10+F19+F30+F33+F34+F42</f>
        <v>122538.10000000002</v>
      </c>
      <c r="G8" s="18">
        <f aca="true" t="shared" si="0" ref="G8:G42">F8-E8</f>
        <v>1679.5200000000332</v>
      </c>
      <c r="H8" s="45">
        <f>F8/E8*100</f>
        <v>101.38965723409959</v>
      </c>
      <c r="I8" s="31">
        <f aca="true" t="shared" si="1" ref="I8:I42">F8-D8</f>
        <v>-394890.89999999997</v>
      </c>
      <c r="J8" s="31">
        <f aca="true" t="shared" si="2" ref="J8:J14">F8/D8*100</f>
        <v>23.682109042979814</v>
      </c>
      <c r="K8" s="18">
        <f>K10+K19+K30+K33+K34+K42</f>
        <v>9738.982000000005</v>
      </c>
      <c r="L8" s="18"/>
      <c r="M8" s="18">
        <f>M10+M19+M30+M33+M34+M42</f>
        <v>41750.58</v>
      </c>
      <c r="N8" s="18">
        <f>N10+N19+N30+N33+N34+N42</f>
        <v>31183.700000000023</v>
      </c>
      <c r="O8" s="31">
        <f aca="true" t="shared" si="3" ref="O8:O45">N8-M8</f>
        <v>-10566.87999999998</v>
      </c>
      <c r="P8" s="31">
        <f>F8/M8*100</f>
        <v>293.5003537675405</v>
      </c>
      <c r="Q8" s="31">
        <f>N8-33748.16</f>
        <v>-2564.459999999981</v>
      </c>
      <c r="R8" s="125">
        <f>N8/33748.16</f>
        <v>0.9240118572390322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72474.07</v>
      </c>
      <c r="G9" s="18">
        <f t="shared" si="0"/>
        <v>72474.07</v>
      </c>
      <c r="H9" s="16"/>
      <c r="I9" s="50">
        <f t="shared" si="1"/>
        <v>-240215.93</v>
      </c>
      <c r="J9" s="50">
        <f t="shared" si="2"/>
        <v>23.17761041286898</v>
      </c>
      <c r="K9" s="50"/>
      <c r="L9" s="50"/>
      <c r="M9" s="16">
        <f>M10+M17</f>
        <v>25584.579999999994</v>
      </c>
      <c r="N9" s="16">
        <f>N10+N17</f>
        <v>22786.58000000001</v>
      </c>
      <c r="O9" s="31">
        <f t="shared" si="3"/>
        <v>-2797.9999999999854</v>
      </c>
      <c r="P9" s="50">
        <f>F9/M9*100</f>
        <v>283.2724633353372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f>70051.4+462.58</f>
        <v>70513.98</v>
      </c>
      <c r="F10" s="143">
        <v>72474.07</v>
      </c>
      <c r="G10" s="43">
        <f t="shared" si="0"/>
        <v>1960.090000000011</v>
      </c>
      <c r="H10" s="35">
        <f aca="true" t="shared" si="4" ref="H10:H42">F10/E10*100</f>
        <v>102.77971829132323</v>
      </c>
      <c r="I10" s="50">
        <f t="shared" si="1"/>
        <v>-240215.93</v>
      </c>
      <c r="J10" s="50">
        <f t="shared" si="2"/>
        <v>23.17761041286898</v>
      </c>
      <c r="K10" s="132">
        <f>F10-86046.61/75*60</f>
        <v>3636.7820000000065</v>
      </c>
      <c r="L10" s="132">
        <f>F10/(86046.61/75*60)*100</f>
        <v>105.28315700060699</v>
      </c>
      <c r="M10" s="35">
        <f>E10-лютий!E10</f>
        <v>25584.579999999994</v>
      </c>
      <c r="N10" s="35">
        <f>F10-лютий!F10</f>
        <v>22786.58000000001</v>
      </c>
      <c r="O10" s="47">
        <f t="shared" si="3"/>
        <v>-2797.9999999999854</v>
      </c>
      <c r="P10" s="50">
        <f aca="true" t="shared" si="5" ref="P10:P42">N10/M10*100</f>
        <v>89.06372510316767</v>
      </c>
      <c r="Q10" s="132">
        <f>N10-26568.11</f>
        <v>-3781.5299999999916</v>
      </c>
      <c r="R10" s="133">
        <f>N10/26568.11</f>
        <v>0.8576665784656872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-1027.71</v>
      </c>
      <c r="G19" s="43">
        <f t="shared" si="0"/>
        <v>-1198.91</v>
      </c>
      <c r="H19" s="35"/>
      <c r="I19" s="50">
        <f t="shared" si="1"/>
        <v>-1527.71</v>
      </c>
      <c r="J19" s="50">
        <f aca="true" t="shared" si="6" ref="J19:J30">F19/D19*100</f>
        <v>-205.54200000000003</v>
      </c>
      <c r="K19" s="50">
        <f>F19-815.68</f>
        <v>-1843.3899999999999</v>
      </c>
      <c r="L19" s="50">
        <f>F19/815.68*100</f>
        <v>-125.99426245586504</v>
      </c>
      <c r="M19" s="35">
        <f>E19-лютий!E19</f>
        <v>171.2</v>
      </c>
      <c r="N19" s="35">
        <f>F19-лютий!F19</f>
        <v>-51.23000000000002</v>
      </c>
      <c r="O19" s="47">
        <f t="shared" si="3"/>
        <v>-222.43</v>
      </c>
      <c r="P19" s="50"/>
      <c r="Q19" s="50">
        <f>N19-358.81</f>
        <v>-410.04</v>
      </c>
      <c r="R19" s="126">
        <f>N19/358.81</f>
        <v>-0.14277751456202453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-1424.84</v>
      </c>
      <c r="G29" s="135">
        <f t="shared" si="0"/>
        <v>-1424.84</v>
      </c>
      <c r="H29" s="137"/>
      <c r="I29" s="136">
        <f t="shared" si="1"/>
        <v>-1424.84</v>
      </c>
      <c r="J29" s="136"/>
      <c r="K29" s="136">
        <f>F29-751.16</f>
        <v>-2176</v>
      </c>
      <c r="L29" s="136">
        <f>F29/751.16*100</f>
        <v>-189.6852867564833</v>
      </c>
      <c r="M29" s="35">
        <f>E29-лютий!E29</f>
        <v>0</v>
      </c>
      <c r="N29" s="35">
        <f>F29-лютий!F29</f>
        <v>-522.4499999999999</v>
      </c>
      <c r="O29" s="138">
        <f t="shared" si="3"/>
        <v>-522.4499999999999</v>
      </c>
      <c r="P29" s="50"/>
      <c r="Q29" s="136">
        <f>N29-358.81</f>
        <v>-881.26</v>
      </c>
      <c r="R29" s="141">
        <f>N29/358.79</f>
        <v>-1.456144262660609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f>5440+1300</f>
        <v>6740</v>
      </c>
      <c r="F33" s="168">
        <v>5219.21</v>
      </c>
      <c r="G33" s="43">
        <f t="shared" si="0"/>
        <v>-1520.79</v>
      </c>
      <c r="H33" s="35">
        <f t="shared" si="4"/>
        <v>77.43635014836795</v>
      </c>
      <c r="I33" s="50">
        <f t="shared" si="1"/>
        <v>-24730.79</v>
      </c>
      <c r="J33" s="178">
        <f>F33/D33*100</f>
        <v>17.42641068447412</v>
      </c>
      <c r="K33" s="179">
        <f>F33-0</f>
        <v>5219.21</v>
      </c>
      <c r="L33" s="180"/>
      <c r="M33" s="35">
        <f>E33-лютий!E33</f>
        <v>4020</v>
      </c>
      <c r="N33" s="35">
        <f>F33-лютий!F33</f>
        <v>1694.0900000000001</v>
      </c>
      <c r="O33" s="47">
        <f t="shared" si="3"/>
        <v>-2325.91</v>
      </c>
      <c r="P33" s="50">
        <f t="shared" si="5"/>
        <v>42.14154228855722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41435</v>
      </c>
      <c r="F34" s="169">
        <f>F35+F39+F41+F40</f>
        <v>43857.72000000001</v>
      </c>
      <c r="G34" s="43">
        <f t="shared" si="0"/>
        <v>2422.7200000000084</v>
      </c>
      <c r="H34" s="35">
        <f t="shared" si="4"/>
        <v>105.84703752865936</v>
      </c>
      <c r="I34" s="50">
        <f t="shared" si="1"/>
        <v>-122912.28</v>
      </c>
      <c r="J34" s="178">
        <f aca="true" t="shared" si="11" ref="J34:J42">F34/D34*100</f>
        <v>26.29832703723692</v>
      </c>
      <c r="K34" s="178">
        <f>K35+K39+K40+K41</f>
        <v>3318.2299999999987</v>
      </c>
      <c r="L34" s="136"/>
      <c r="M34" s="35">
        <f>E34-лютий!E34</f>
        <v>11974.5</v>
      </c>
      <c r="N34" s="35">
        <f>F34-лютий!F34</f>
        <v>6754.4900000000125</v>
      </c>
      <c r="O34" s="47">
        <f t="shared" si="3"/>
        <v>-5220.0099999999875</v>
      </c>
      <c r="P34" s="50">
        <f t="shared" si="5"/>
        <v>56.407282141216854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21387</v>
      </c>
      <c r="F35" s="169">
        <f>F36+F37+F38</f>
        <v>19243.07</v>
      </c>
      <c r="G35" s="43">
        <f t="shared" si="0"/>
        <v>-2143.9300000000003</v>
      </c>
      <c r="H35" s="35">
        <f t="shared" si="4"/>
        <v>89.97554589236452</v>
      </c>
      <c r="I35" s="50">
        <f t="shared" si="1"/>
        <v>-78956.93</v>
      </c>
      <c r="J35" s="178">
        <f t="shared" si="11"/>
        <v>19.59579429735234</v>
      </c>
      <c r="K35" s="178">
        <f>K36+K37+K38</f>
        <v>52.32999999999839</v>
      </c>
      <c r="L35" s="136"/>
      <c r="M35" s="35">
        <f>E35-лютий!E35</f>
        <v>7632.5</v>
      </c>
      <c r="N35" s="35">
        <f>F35-лютий!F35</f>
        <v>3976.279999999999</v>
      </c>
      <c r="O35" s="47">
        <f t="shared" si="3"/>
        <v>-3656.220000000001</v>
      </c>
      <c r="P35" s="50">
        <f t="shared" si="5"/>
        <v>52.09669177857843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483.59</v>
      </c>
      <c r="G36" s="135">
        <f t="shared" si="0"/>
        <v>373.59</v>
      </c>
      <c r="H36" s="137">
        <f t="shared" si="4"/>
        <v>439.6272727272727</v>
      </c>
      <c r="I36" s="136">
        <f t="shared" si="1"/>
        <v>-516.4100000000001</v>
      </c>
      <c r="J36" s="136">
        <f t="shared" si="11"/>
        <v>48.358999999999995</v>
      </c>
      <c r="K36" s="136">
        <f>F36-101.47</f>
        <v>382.12</v>
      </c>
      <c r="L36" s="136">
        <f>F36/101.47*100</f>
        <v>476.5842120823889</v>
      </c>
      <c r="M36" s="35">
        <f>E36-лютий!E36</f>
        <v>5.5</v>
      </c>
      <c r="N36" s="35">
        <f>F36-лютий!F36</f>
        <v>177.57999999999998</v>
      </c>
      <c r="O36" s="47">
        <f t="shared" si="3"/>
        <v>172.07999999999998</v>
      </c>
      <c r="P36" s="50">
        <f t="shared" si="5"/>
        <v>3228.727272727272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31.45</v>
      </c>
      <c r="G37" s="135">
        <f t="shared" si="0"/>
        <v>31.45</v>
      </c>
      <c r="H37" s="137"/>
      <c r="I37" s="136">
        <f t="shared" si="1"/>
        <v>-1468.55</v>
      </c>
      <c r="J37" s="136">
        <f t="shared" si="11"/>
        <v>2.0966666666666667</v>
      </c>
      <c r="K37" s="136">
        <f>F37-0</f>
        <v>31.45</v>
      </c>
      <c r="L37" s="136"/>
      <c r="M37" s="35">
        <f>E37-лютий!E37</f>
        <v>0</v>
      </c>
      <c r="N37" s="35">
        <f>F37-лютий!F37</f>
        <v>25.2</v>
      </c>
      <c r="O37" s="47">
        <f t="shared" si="3"/>
        <v>25.2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21277</v>
      </c>
      <c r="F38" s="144">
        <v>18728.03</v>
      </c>
      <c r="G38" s="135">
        <f t="shared" si="0"/>
        <v>-2548.970000000001</v>
      </c>
      <c r="H38" s="137">
        <f t="shared" si="4"/>
        <v>88.02006861869623</v>
      </c>
      <c r="I38" s="136">
        <f t="shared" si="1"/>
        <v>-76971.97</v>
      </c>
      <c r="J38" s="136">
        <f t="shared" si="11"/>
        <v>19.56951933124347</v>
      </c>
      <c r="K38" s="139">
        <f>F38-19089.27</f>
        <v>-361.2400000000016</v>
      </c>
      <c r="L38" s="139">
        <f>F38/19089.27*100</f>
        <v>98.10762800253754</v>
      </c>
      <c r="M38" s="35">
        <f>E38-лютий!E38</f>
        <v>7627</v>
      </c>
      <c r="N38" s="35">
        <f>F38-лютий!F38</f>
        <v>3773.499999999998</v>
      </c>
      <c r="O38" s="47">
        <f t="shared" si="3"/>
        <v>-3853.500000000002</v>
      </c>
      <c r="P38" s="50">
        <f t="shared" si="5"/>
        <v>49.475547397403936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16.22</v>
      </c>
      <c r="G39" s="43">
        <f t="shared" si="0"/>
        <v>8.219999999999999</v>
      </c>
      <c r="H39" s="35">
        <f t="shared" si="4"/>
        <v>202.75</v>
      </c>
      <c r="I39" s="50">
        <f t="shared" si="1"/>
        <v>-53.78</v>
      </c>
      <c r="J39" s="178">
        <f t="shared" si="11"/>
        <v>23.17142857142857</v>
      </c>
      <c r="K39" s="178">
        <f>F39-19.65</f>
        <v>-3.4299999999999997</v>
      </c>
      <c r="L39" s="178">
        <f>F39/19.65*100</f>
        <v>82.54452926208651</v>
      </c>
      <c r="M39" s="35">
        <f>E39-лютий!E39</f>
        <v>2</v>
      </c>
      <c r="N39" s="35">
        <f>F39-лютий!F39</f>
        <v>1.9999999999999982</v>
      </c>
      <c r="O39" s="47">
        <f t="shared" si="3"/>
        <v>-1.7763568394002505E-15</v>
      </c>
      <c r="P39" s="50">
        <f t="shared" si="5"/>
        <v>99.99999999999991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25.37</v>
      </c>
      <c r="G40" s="43">
        <f t="shared" si="0"/>
        <v>25.37</v>
      </c>
      <c r="H40" s="35"/>
      <c r="I40" s="50">
        <f t="shared" si="1"/>
        <v>25.37</v>
      </c>
      <c r="J40" s="136"/>
      <c r="K40" s="178">
        <f>F40-1634.06</f>
        <v>-1608.69</v>
      </c>
      <c r="L40" s="178">
        <f>F40/1634.06*100</f>
        <v>1.5525745688652806</v>
      </c>
      <c r="M40" s="35">
        <f>E40-лютий!E40</f>
        <v>0</v>
      </c>
      <c r="N40" s="35">
        <f>F40-лютий!F40</f>
        <v>-62.3</v>
      </c>
      <c r="O40" s="47">
        <f t="shared" si="3"/>
        <v>-62.3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f>18040+2000</f>
        <v>20040</v>
      </c>
      <c r="F41" s="168">
        <v>24573.06</v>
      </c>
      <c r="G41" s="43">
        <f t="shared" si="0"/>
        <v>4533.060000000001</v>
      </c>
      <c r="H41" s="35">
        <f t="shared" si="4"/>
        <v>122.62005988023952</v>
      </c>
      <c r="I41" s="50">
        <f t="shared" si="1"/>
        <v>-43926.94</v>
      </c>
      <c r="J41" s="178">
        <f t="shared" si="11"/>
        <v>35.87308029197081</v>
      </c>
      <c r="K41" s="132">
        <f>F41-19695.04</f>
        <v>4878.02</v>
      </c>
      <c r="L41" s="132">
        <f>F41/19695.04*100</f>
        <v>124.76775878596844</v>
      </c>
      <c r="M41" s="35">
        <f>E41-лютий!E41</f>
        <v>4340</v>
      </c>
      <c r="N41" s="35">
        <f>F41-лютий!F41</f>
        <v>2838.510000000002</v>
      </c>
      <c r="O41" s="47">
        <f t="shared" si="3"/>
        <v>-1501.489999999998</v>
      </c>
      <c r="P41" s="50">
        <f t="shared" si="5"/>
        <v>65.40345622119821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1999.01</v>
      </c>
      <c r="G42" s="43">
        <f t="shared" si="0"/>
        <v>13.6099999999999</v>
      </c>
      <c r="H42" s="35">
        <f t="shared" si="4"/>
        <v>100.68550418051778</v>
      </c>
      <c r="I42" s="50">
        <f t="shared" si="1"/>
        <v>-5500.99</v>
      </c>
      <c r="J42" s="136">
        <f t="shared" si="11"/>
        <v>26.653466666666663</v>
      </c>
      <c r="K42" s="178">
        <f>F42-2603.75</f>
        <v>-604.74</v>
      </c>
      <c r="L42" s="178">
        <f>F42/2603.75*100</f>
        <v>76.77426788286125</v>
      </c>
      <c r="M42" s="35">
        <f>E42-лютий!E42</f>
        <v>0.3000000000001819</v>
      </c>
      <c r="N42" s="35">
        <f>F42-лютий!F42</f>
        <v>-0.2300000000000182</v>
      </c>
      <c r="O42" s="47">
        <f t="shared" si="3"/>
        <v>-0.5300000000002001</v>
      </c>
      <c r="P42" s="50">
        <f t="shared" si="5"/>
        <v>-76.66666666662624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7198.07</v>
      </c>
      <c r="G48" s="44">
        <f aca="true" t="shared" si="12" ref="G48:G81">F48-E48</f>
        <v>4162.07</v>
      </c>
      <c r="H48" s="45">
        <f aca="true" t="shared" si="13" ref="H48:H59">F48/E48*100</f>
        <v>237.09057971014494</v>
      </c>
      <c r="I48" s="31">
        <f aca="true" t="shared" si="14" ref="I48:I81">F48-D48</f>
        <v>-5369.030000000001</v>
      </c>
      <c r="J48" s="31">
        <f aca="true" t="shared" si="15" ref="J48:J66">F48/D48*100</f>
        <v>57.277096545742445</v>
      </c>
      <c r="K48" s="18">
        <f>K51+K60+K61+K62+K63+K71+K72+K73+K75+K79+K70</f>
        <v>4061.6499999999996</v>
      </c>
      <c r="L48" s="18"/>
      <c r="M48" s="18">
        <f>M51+M60+M61+M62+M63+M71+M72+M73+M75+M79+M70+M69</f>
        <v>955.5</v>
      </c>
      <c r="N48" s="18">
        <f>N51+N60+N61+N62+N63+N71+N72+N73+N75+N79+N70+N69</f>
        <v>2314.37</v>
      </c>
      <c r="O48" s="49">
        <f aca="true" t="shared" si="16" ref="O48:O81">N48-M48</f>
        <v>1358.87</v>
      </c>
      <c r="P48" s="31">
        <f>N48/M48*100</f>
        <v>242.21559392987962</v>
      </c>
      <c r="Q48" s="31">
        <f>N48-1017.63</f>
        <v>1296.7399999999998</v>
      </c>
      <c r="R48" s="127">
        <f>N48/1017.63</f>
        <v>2.274274539862229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F61-212.16</f>
        <v>-209.31</v>
      </c>
      <c r="L61" s="50">
        <f>F61/212.16*100</f>
        <v>1.3433257918552037</v>
      </c>
      <c r="M61" s="35">
        <f>E61-лютий!E61</f>
        <v>0</v>
      </c>
      <c r="N61" s="35">
        <f>F61-лютий!F61</f>
        <v>0</v>
      </c>
      <c r="O61" s="47">
        <f t="shared" si="16"/>
        <v>0</v>
      </c>
      <c r="P61" s="50"/>
      <c r="Q61" s="50">
        <f>N61-4.23</f>
        <v>-4.23</v>
      </c>
      <c r="R61" s="126">
        <f>N61/4.23</f>
        <v>0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26.68</v>
      </c>
      <c r="G63" s="43">
        <f t="shared" si="12"/>
        <v>1.6799999999999997</v>
      </c>
      <c r="H63" s="35">
        <f>F63/E63*100</f>
        <v>106.72</v>
      </c>
      <c r="I63" s="50">
        <f t="shared" si="14"/>
        <v>-113.32</v>
      </c>
      <c r="J63" s="50">
        <v>10</v>
      </c>
      <c r="K63" s="50">
        <f>F63-26.77</f>
        <v>-0.08999999999999986</v>
      </c>
      <c r="L63" s="50">
        <f>F63/26.77*100</f>
        <v>99.66380276428838</v>
      </c>
      <c r="M63" s="35">
        <f>E63-лютий!E63</f>
        <v>9</v>
      </c>
      <c r="N63" s="35">
        <f>F63-лютий!F63</f>
        <v>9.850000000000001</v>
      </c>
      <c r="O63" s="47">
        <f t="shared" si="16"/>
        <v>0.8500000000000014</v>
      </c>
      <c r="P63" s="50">
        <f>N63/M63*100</f>
        <v>109.44444444444446</v>
      </c>
      <c r="Q63" s="50">
        <f>N63-9.02</f>
        <v>0.8300000000000018</v>
      </c>
      <c r="R63" s="126">
        <f>N63/9.02</f>
        <v>1.092017738359202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/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2297.13</v>
      </c>
      <c r="G70" s="43">
        <f t="shared" si="12"/>
        <v>2297.13</v>
      </c>
      <c r="H70" s="35"/>
      <c r="I70" s="50">
        <f t="shared" si="14"/>
        <v>2297.13</v>
      </c>
      <c r="J70" s="50"/>
      <c r="K70" s="50">
        <f>F70-0</f>
        <v>2297.13</v>
      </c>
      <c r="L70" s="50"/>
      <c r="M70" s="35">
        <f>E70-лютий!E70</f>
        <v>0</v>
      </c>
      <c r="N70" s="35">
        <f>F70-лютий!F70</f>
        <v>737.6600000000001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2015.55</v>
      </c>
      <c r="G72" s="43">
        <f t="shared" si="12"/>
        <v>1785.55</v>
      </c>
      <c r="H72" s="35">
        <f>F72/E72*100</f>
        <v>876.3260869565217</v>
      </c>
      <c r="I72" s="50">
        <f t="shared" si="14"/>
        <v>915.55</v>
      </c>
      <c r="J72" s="50">
        <v>90</v>
      </c>
      <c r="K72" s="50">
        <f>F72-198.87</f>
        <v>1816.6799999999998</v>
      </c>
      <c r="L72" s="50">
        <f>F72/198.87*100</f>
        <v>1013.5012822446823</v>
      </c>
      <c r="M72" s="35">
        <f>E72-лютий!E72</f>
        <v>81</v>
      </c>
      <c r="N72" s="35">
        <f>F72-лютий!F72</f>
        <v>617.0799999999999</v>
      </c>
      <c r="O72" s="47">
        <f t="shared" si="16"/>
        <v>536.0799999999999</v>
      </c>
      <c r="P72" s="50">
        <f>N72/M72*100</f>
        <v>761.8271604938271</v>
      </c>
      <c r="Q72" s="50">
        <f>N72-79.51</f>
        <v>537.5699999999999</v>
      </c>
      <c r="R72" s="126">
        <f>N72/79.51</f>
        <v>7.7610363476292274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912.41</v>
      </c>
      <c r="G75" s="43">
        <f t="shared" si="12"/>
        <v>-37.59000000000003</v>
      </c>
      <c r="H75" s="35">
        <f>F75/E75*100</f>
        <v>96.04315789473684</v>
      </c>
      <c r="I75" s="50">
        <f t="shared" si="14"/>
        <v>-3287.59</v>
      </c>
      <c r="J75" s="50">
        <f>F75/D75*100</f>
        <v>21.724047619047617</v>
      </c>
      <c r="K75" s="50">
        <f>F75-913.85</f>
        <v>-1.4400000000000546</v>
      </c>
      <c r="L75" s="50">
        <f>F75/913.85*100</f>
        <v>99.84242490561908</v>
      </c>
      <c r="M75" s="35">
        <f>E75-лютий!E75</f>
        <v>300</v>
      </c>
      <c r="N75" s="35">
        <f>F75-лютий!F75</f>
        <v>322.16999999999996</v>
      </c>
      <c r="O75" s="47">
        <f t="shared" si="16"/>
        <v>22.16999999999996</v>
      </c>
      <c r="P75" s="50">
        <f t="shared" si="20"/>
        <v>107.38999999999999</v>
      </c>
      <c r="Q75" s="50">
        <f>N75-277.38</f>
        <v>44.789999999999964</v>
      </c>
      <c r="R75" s="126">
        <f>N75/277.38</f>
        <v>1.1614752325329871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228.1</v>
      </c>
      <c r="G78" s="135">
        <f t="shared" si="12"/>
        <v>228.1</v>
      </c>
      <c r="H78" s="137"/>
      <c r="I78" s="136">
        <f t="shared" si="14"/>
        <v>228.1</v>
      </c>
      <c r="J78" s="136"/>
      <c r="K78" s="136">
        <f>F78-172.57</f>
        <v>55.53</v>
      </c>
      <c r="L78" s="138">
        <f>F78/172.57*100</f>
        <v>132.17824650866314</v>
      </c>
      <c r="M78" s="35">
        <f>E78-лютий!E78</f>
        <v>0</v>
      </c>
      <c r="N78" s="35">
        <f>F78-лютий!F78</f>
        <v>85.4</v>
      </c>
      <c r="O78" s="138">
        <f t="shared" si="16"/>
        <v>85.4</v>
      </c>
      <c r="P78" s="136"/>
      <c r="Q78" s="50">
        <f>N78-64.93</f>
        <v>20.47</v>
      </c>
      <c r="R78" s="126">
        <f>N78/64.93</f>
        <v>1.3152625904820576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123900.77999999998</v>
      </c>
      <c r="F82" s="18">
        <f>F8+F48+F80+F81</f>
        <v>129742.29000000002</v>
      </c>
      <c r="G82" s="44">
        <f>F82-E82</f>
        <v>5841.510000000038</v>
      </c>
      <c r="H82" s="45">
        <f>F82/E82*100</f>
        <v>104.71466765584529</v>
      </c>
      <c r="I82" s="31">
        <f>F82-D82</f>
        <v>-400280.30999999994</v>
      </c>
      <c r="J82" s="31">
        <f>F82/D82*100</f>
        <v>24.478633552607008</v>
      </c>
      <c r="K82" s="31">
        <f>K8+K48+K80+K81</f>
        <v>13800.802000000005</v>
      </c>
      <c r="L82" s="31"/>
      <c r="M82" s="18">
        <f>M8+M48+M80+M81</f>
        <v>42708.28</v>
      </c>
      <c r="N82" s="18">
        <f>N8+N48+N80+N81</f>
        <v>33500.870000000024</v>
      </c>
      <c r="O82" s="49">
        <f>N82-M82</f>
        <v>-9207.409999999974</v>
      </c>
      <c r="P82" s="31">
        <f>N82/M82*100</f>
        <v>78.44115941920403</v>
      </c>
      <c r="Q82" s="31">
        <f>N82-34768</f>
        <v>-1267.1299999999756</v>
      </c>
      <c r="R82" s="171">
        <f>N82/34768</f>
        <v>0.9635547054763007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0.1</v>
      </c>
      <c r="G90" s="43">
        <f t="shared" si="21"/>
        <v>0.1</v>
      </c>
      <c r="H90" s="35"/>
      <c r="I90" s="53">
        <f t="shared" si="22"/>
        <v>-2499.9</v>
      </c>
      <c r="J90" s="53">
        <f t="shared" si="25"/>
        <v>0.004</v>
      </c>
      <c r="K90" s="53">
        <f>F90-518.63</f>
        <v>-518.53</v>
      </c>
      <c r="L90" s="53">
        <f>F90/518.63*100</f>
        <v>0.019281568748433373</v>
      </c>
      <c r="M90" s="35">
        <f>E90-лютий!E90</f>
        <v>0</v>
      </c>
      <c r="N90" s="35">
        <f>F90-лютий!F90</f>
        <v>0.020000000000000004</v>
      </c>
      <c r="O90" s="47">
        <f t="shared" si="23"/>
        <v>0.020000000000000004</v>
      </c>
      <c r="P90" s="53"/>
      <c r="Q90" s="53">
        <f>N90-0.04</f>
        <v>-0.019999999999999997</v>
      </c>
      <c r="R90" s="129">
        <f>N90/0.04</f>
        <v>0.5000000000000001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777.45</v>
      </c>
      <c r="G91" s="43">
        <f t="shared" si="21"/>
        <v>239.32000000000005</v>
      </c>
      <c r="H91" s="35">
        <f t="shared" si="24"/>
        <v>144.47252522624646</v>
      </c>
      <c r="I91" s="53">
        <f t="shared" si="22"/>
        <v>-10798.55</v>
      </c>
      <c r="J91" s="53">
        <f t="shared" si="25"/>
        <v>6.716050449205252</v>
      </c>
      <c r="K91" s="53">
        <f>F91-1143.96</f>
        <v>-366.51</v>
      </c>
      <c r="L91" s="53">
        <f>F91/1143.96*100</f>
        <v>67.96129235287948</v>
      </c>
      <c r="M91" s="35">
        <f>E91-лютий!E91</f>
        <v>182.152</v>
      </c>
      <c r="N91" s="35">
        <f>F91-лютий!F91</f>
        <v>363.33000000000004</v>
      </c>
      <c r="O91" s="47">
        <f t="shared" si="23"/>
        <v>181.17800000000005</v>
      </c>
      <c r="P91" s="53">
        <f>N91/M91*100</f>
        <v>199.4652817427204</v>
      </c>
      <c r="Q91" s="53">
        <f>N91-450.01</f>
        <v>-86.67999999999995</v>
      </c>
      <c r="R91" s="129">
        <f>N91/450.01</f>
        <v>0.8073820581764851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788.61</v>
      </c>
      <c r="G93" s="55">
        <f t="shared" si="21"/>
        <v>-45.719999999999914</v>
      </c>
      <c r="H93" s="65">
        <f t="shared" si="24"/>
        <v>94.52015389594047</v>
      </c>
      <c r="I93" s="54">
        <f t="shared" si="22"/>
        <v>-16287.39</v>
      </c>
      <c r="J93" s="54">
        <f t="shared" si="25"/>
        <v>4.618236120871399</v>
      </c>
      <c r="K93" s="54">
        <f>F93-1606.47</f>
        <v>-817.86</v>
      </c>
      <c r="L93" s="54">
        <f>F93/1606.47*100</f>
        <v>49.08961885376011</v>
      </c>
      <c r="M93" s="55">
        <f>M90+M91+M92</f>
        <v>330.25199999999995</v>
      </c>
      <c r="N93" s="55">
        <f>N90+N91+N92</f>
        <v>376.01000000000005</v>
      </c>
      <c r="O93" s="54">
        <f t="shared" si="23"/>
        <v>45.758000000000095</v>
      </c>
      <c r="P93" s="54">
        <f>N93/M93*100</f>
        <v>113.85548005765298</v>
      </c>
      <c r="Q93" s="54">
        <f>N93-7985.28</f>
        <v>-7609.2699999999995</v>
      </c>
      <c r="R93" s="173">
        <f>N93/7985.28</f>
        <v>0.04708789172076622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0.46</v>
      </c>
      <c r="G97" s="43">
        <f>F97-E97</f>
        <v>0.46</v>
      </c>
      <c r="H97" s="35"/>
      <c r="I97" s="53">
        <f>F97-D97</f>
        <v>0.46</v>
      </c>
      <c r="J97" s="53"/>
      <c r="K97" s="53">
        <f>F97-(-0.36)</f>
        <v>0.8200000000000001</v>
      </c>
      <c r="L97" s="53">
        <f>F97/(-0.36)*100</f>
        <v>-127.77777777777779</v>
      </c>
      <c r="M97" s="35">
        <f>E97-лютий!E97</f>
        <v>0</v>
      </c>
      <c r="N97" s="35">
        <f>F97-лютий!F97</f>
        <v>-0.02999999999999997</v>
      </c>
      <c r="O97" s="47">
        <f>N97-M97</f>
        <v>-0.02999999999999997</v>
      </c>
      <c r="P97" s="53"/>
      <c r="Q97" s="53">
        <f>N97-(-0.21)</f>
        <v>0.18000000000000002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0.46</v>
      </c>
      <c r="G98" s="55">
        <f>F98-E98</f>
        <v>-3.54</v>
      </c>
      <c r="H98" s="65"/>
      <c r="I98" s="54">
        <f>F98-D98</f>
        <v>-53.54</v>
      </c>
      <c r="J98" s="54">
        <f>F98/D98*100</f>
        <v>0.8518518518518519</v>
      </c>
      <c r="K98" s="54">
        <f>F98-8.69</f>
        <v>-8.229999999999999</v>
      </c>
      <c r="L98" s="54">
        <f>F98/8.69*100</f>
        <v>5.293440736478712</v>
      </c>
      <c r="M98" s="55">
        <f>M94+M97+M96</f>
        <v>4</v>
      </c>
      <c r="N98" s="55">
        <f>N94+N97+N96</f>
        <v>-0.02999999999999997</v>
      </c>
      <c r="O98" s="54">
        <f>N98-M98</f>
        <v>-4.03</v>
      </c>
      <c r="P98" s="54"/>
      <c r="Q98" s="54">
        <f>N98-26.38</f>
        <v>-26.41</v>
      </c>
      <c r="R98" s="128">
        <f>N98/26.38</f>
        <v>-0.0011372251705837745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5.64</v>
      </c>
      <c r="G99" s="43">
        <f>F99-E99</f>
        <v>-5.95</v>
      </c>
      <c r="H99" s="35">
        <f>F99/E99*100</f>
        <v>48.662640207075064</v>
      </c>
      <c r="I99" s="53">
        <f>F99-D99</f>
        <v>-36.36</v>
      </c>
      <c r="J99" s="53">
        <f>F99/D99*100</f>
        <v>13.428571428571429</v>
      </c>
      <c r="K99" s="53">
        <f>F99-10.97</f>
        <v>-5.330000000000001</v>
      </c>
      <c r="L99" s="53">
        <f>F99/10.97*100</f>
        <v>51.412944393801276</v>
      </c>
      <c r="M99" s="35">
        <f>E99-лютий!E99</f>
        <v>9</v>
      </c>
      <c r="N99" s="35">
        <f>F99-лютий!F99</f>
        <v>4.68</v>
      </c>
      <c r="O99" s="47">
        <f>N99-M99</f>
        <v>-4.32</v>
      </c>
      <c r="P99" s="53">
        <f>N99/M99*100</f>
        <v>52</v>
      </c>
      <c r="Q99" s="53">
        <f>N99-0.45</f>
        <v>4.2299999999999995</v>
      </c>
      <c r="R99" s="129">
        <f>N99/0.45</f>
        <v>10.399999999999999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780.0600000000001</v>
      </c>
      <c r="G100" s="44">
        <f>F100-E100</f>
        <v>-69.8599999999999</v>
      </c>
      <c r="H100" s="45">
        <f>F100/E100*100</f>
        <v>91.7804028614458</v>
      </c>
      <c r="I100" s="31">
        <f>F100-D100</f>
        <v>-16391.94</v>
      </c>
      <c r="J100" s="31">
        <f>F100/D100*100</f>
        <v>4.542627533193571</v>
      </c>
      <c r="K100" s="31">
        <f>K88+K93+K98+K99</f>
        <v>-838.9200000000001</v>
      </c>
      <c r="L100" s="31"/>
      <c r="M100" s="27">
        <f>M88+M99+M93+M98</f>
        <v>343.25199999999995</v>
      </c>
      <c r="N100" s="27">
        <f>N88+N99+N93+N98</f>
        <v>380.6600000000001</v>
      </c>
      <c r="O100" s="31">
        <f>N100-M100</f>
        <v>37.40800000000013</v>
      </c>
      <c r="P100" s="31">
        <f>N100/M100*100</f>
        <v>110.89811567011995</v>
      </c>
      <c r="Q100" s="31">
        <f>N100-8104.96</f>
        <v>-7724.3</v>
      </c>
      <c r="R100" s="127">
        <f>N100/8104.96</f>
        <v>0.04696630211623501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124750.69999999998</v>
      </c>
      <c r="F101" s="27">
        <f>F82+F100</f>
        <v>130522.35000000002</v>
      </c>
      <c r="G101" s="44">
        <f>F101-E101</f>
        <v>5771.650000000038</v>
      </c>
      <c r="H101" s="45">
        <f>F101/E101*100</f>
        <v>104.62654718570721</v>
      </c>
      <c r="I101" s="31">
        <f>F101-D101</f>
        <v>-416672.24999999994</v>
      </c>
      <c r="J101" s="31">
        <f>F101/D101*100</f>
        <v>23.853004031838037</v>
      </c>
      <c r="K101" s="31">
        <f>K82+K100</f>
        <v>12961.882000000005</v>
      </c>
      <c r="L101" s="31"/>
      <c r="M101" s="18">
        <f>M82+M100</f>
        <v>43051.532</v>
      </c>
      <c r="N101" s="18">
        <f>N82+N100</f>
        <v>33881.53000000003</v>
      </c>
      <c r="O101" s="31">
        <f>N101-M101</f>
        <v>-9170.001999999971</v>
      </c>
      <c r="P101" s="31">
        <f>N101/M101*100</f>
        <v>78.69994034126366</v>
      </c>
      <c r="Q101" s="31">
        <f>N101-42872.96</f>
        <v>-8991.429999999971</v>
      </c>
      <c r="R101" s="127">
        <f>N101/42872.96</f>
        <v>0.7902773682992736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5</v>
      </c>
      <c r="D103" s="4" t="s">
        <v>118</v>
      </c>
    </row>
    <row r="104" spans="2:17" ht="31.5">
      <c r="B104" s="71" t="s">
        <v>154</v>
      </c>
      <c r="C104" s="34">
        <f>IF(O82&lt;0,ABS(O82/C103),0)</f>
        <v>1841.481999999995</v>
      </c>
      <c r="D104" s="4" t="s">
        <v>104</v>
      </c>
      <c r="G104" s="207"/>
      <c r="H104" s="207"/>
      <c r="I104" s="207"/>
      <c r="J104" s="207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42087</v>
      </c>
      <c r="D105" s="34">
        <v>1595.4</v>
      </c>
      <c r="N105" s="208"/>
      <c r="O105" s="208"/>
    </row>
    <row r="106" spans="3:15" ht="15.75">
      <c r="C106" s="111">
        <v>42086</v>
      </c>
      <c r="D106" s="34">
        <v>1296.6</v>
      </c>
      <c r="F106" s="155" t="s">
        <v>166</v>
      </c>
      <c r="G106" s="209"/>
      <c r="H106" s="209"/>
      <c r="I106" s="177"/>
      <c r="J106" s="210"/>
      <c r="K106" s="210"/>
      <c r="L106" s="210"/>
      <c r="M106" s="210"/>
      <c r="N106" s="208"/>
      <c r="O106" s="208"/>
    </row>
    <row r="107" spans="3:15" ht="15.75" customHeight="1">
      <c r="C107" s="111">
        <v>42083</v>
      </c>
      <c r="D107" s="34">
        <v>4446.5</v>
      </c>
      <c r="G107" s="214" t="s">
        <v>151</v>
      </c>
      <c r="H107" s="214"/>
      <c r="I107" s="106">
        <v>8909.73221</v>
      </c>
      <c r="J107" s="215"/>
      <c r="K107" s="215"/>
      <c r="L107" s="215"/>
      <c r="M107" s="215"/>
      <c r="N107" s="208"/>
      <c r="O107" s="208"/>
    </row>
    <row r="108" spans="7:13" ht="15.75" customHeight="1">
      <c r="G108" s="216" t="s">
        <v>155</v>
      </c>
      <c r="H108" s="216"/>
      <c r="I108" s="103">
        <v>0</v>
      </c>
      <c r="J108" s="210"/>
      <c r="K108" s="210"/>
      <c r="L108" s="210"/>
      <c r="M108" s="210"/>
    </row>
    <row r="109" spans="2:13" ht="18.75" customHeight="1">
      <c r="B109" s="217" t="s">
        <v>160</v>
      </c>
      <c r="C109" s="218"/>
      <c r="D109" s="108">
        <v>132963.58754</v>
      </c>
      <c r="E109" s="73"/>
      <c r="F109" s="156" t="s">
        <v>147</v>
      </c>
      <c r="G109" s="214" t="s">
        <v>149</v>
      </c>
      <c r="H109" s="214"/>
      <c r="I109" s="107">
        <v>124053.85533000002</v>
      </c>
      <c r="J109" s="210"/>
      <c r="K109" s="210"/>
      <c r="L109" s="210"/>
      <c r="M109" s="210"/>
    </row>
    <row r="110" spans="7:12" ht="9.75" customHeight="1">
      <c r="G110" s="209"/>
      <c r="H110" s="209"/>
      <c r="I110" s="90"/>
      <c r="J110" s="91"/>
      <c r="K110" s="91"/>
      <c r="L110" s="91"/>
    </row>
    <row r="111" spans="2:12" ht="22.5" customHeight="1" hidden="1">
      <c r="B111" s="219" t="s">
        <v>167</v>
      </c>
      <c r="C111" s="220"/>
      <c r="D111" s="110">
        <v>0</v>
      </c>
      <c r="E111" s="70" t="s">
        <v>104</v>
      </c>
      <c r="G111" s="209"/>
      <c r="H111" s="209"/>
      <c r="I111" s="90"/>
      <c r="J111" s="91"/>
      <c r="K111" s="91"/>
      <c r="L111" s="91"/>
    </row>
    <row r="112" spans="4:15" ht="15.75">
      <c r="D112" s="105"/>
      <c r="N112" s="209"/>
      <c r="O112" s="209"/>
    </row>
    <row r="113" spans="4:15" ht="15.75">
      <c r="D113" s="104"/>
      <c r="I113" s="34"/>
      <c r="N113" s="221"/>
      <c r="O113" s="221"/>
    </row>
    <row r="114" spans="14:15" ht="15.75">
      <c r="N114" s="209"/>
      <c r="O114" s="209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2" bottom="0.36" header="0.17" footer="0.29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D10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17" sqref="G117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181" t="s">
        <v>227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17"/>
      <c r="R1" s="118"/>
    </row>
    <row r="2" spans="2:18" s="1" customFormat="1" ht="15.75" customHeight="1">
      <c r="B2" s="182"/>
      <c r="C2" s="182"/>
      <c r="D2" s="18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83"/>
      <c r="B3" s="185" t="s">
        <v>205</v>
      </c>
      <c r="C3" s="186" t="s">
        <v>0</v>
      </c>
      <c r="D3" s="187" t="s">
        <v>216</v>
      </c>
      <c r="E3" s="40"/>
      <c r="F3" s="188" t="s">
        <v>107</v>
      </c>
      <c r="G3" s="189"/>
      <c r="H3" s="189"/>
      <c r="I3" s="189"/>
      <c r="J3" s="190"/>
      <c r="K3" s="114"/>
      <c r="L3" s="114"/>
      <c r="M3" s="191" t="s">
        <v>221</v>
      </c>
      <c r="N3" s="194" t="s">
        <v>202</v>
      </c>
      <c r="O3" s="194"/>
      <c r="P3" s="194"/>
      <c r="Q3" s="194"/>
      <c r="R3" s="194"/>
    </row>
    <row r="4" spans="1:18" ht="22.5" customHeight="1">
      <c r="A4" s="183"/>
      <c r="B4" s="185"/>
      <c r="C4" s="186"/>
      <c r="D4" s="187"/>
      <c r="E4" s="195" t="s">
        <v>199</v>
      </c>
      <c r="F4" s="199" t="s">
        <v>116</v>
      </c>
      <c r="G4" s="201" t="s">
        <v>200</v>
      </c>
      <c r="H4" s="203" t="s">
        <v>201</v>
      </c>
      <c r="I4" s="205" t="s">
        <v>217</v>
      </c>
      <c r="J4" s="192" t="s">
        <v>218</v>
      </c>
      <c r="K4" s="116" t="s">
        <v>172</v>
      </c>
      <c r="L4" s="121" t="s">
        <v>171</v>
      </c>
      <c r="M4" s="192"/>
      <c r="N4" s="211" t="s">
        <v>226</v>
      </c>
      <c r="O4" s="205" t="s">
        <v>136</v>
      </c>
      <c r="P4" s="213" t="s">
        <v>135</v>
      </c>
      <c r="Q4" s="122" t="s">
        <v>172</v>
      </c>
      <c r="R4" s="123" t="s">
        <v>171</v>
      </c>
    </row>
    <row r="5" spans="1:19" ht="92.25" customHeight="1">
      <c r="A5" s="184"/>
      <c r="B5" s="185"/>
      <c r="C5" s="186"/>
      <c r="D5" s="187"/>
      <c r="E5" s="196"/>
      <c r="F5" s="200"/>
      <c r="G5" s="202"/>
      <c r="H5" s="204"/>
      <c r="I5" s="206"/>
      <c r="J5" s="193"/>
      <c r="K5" s="197" t="s">
        <v>224</v>
      </c>
      <c r="L5" s="198"/>
      <c r="M5" s="193"/>
      <c r="N5" s="212"/>
      <c r="O5" s="206"/>
      <c r="P5" s="213"/>
      <c r="Q5" s="197" t="s">
        <v>176</v>
      </c>
      <c r="R5" s="19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07"/>
      <c r="H104" s="207"/>
      <c r="I104" s="207"/>
      <c r="J104" s="207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08"/>
      <c r="O105" s="208"/>
    </row>
    <row r="106" spans="3:15" ht="15.75">
      <c r="C106" s="111">
        <v>42061</v>
      </c>
      <c r="D106" s="34">
        <v>6003.3</v>
      </c>
      <c r="F106" s="155" t="s">
        <v>166</v>
      </c>
      <c r="G106" s="209"/>
      <c r="H106" s="209"/>
      <c r="I106" s="177"/>
      <c r="J106" s="210"/>
      <c r="K106" s="210"/>
      <c r="L106" s="210"/>
      <c r="M106" s="210"/>
      <c r="N106" s="208"/>
      <c r="O106" s="208"/>
    </row>
    <row r="107" spans="3:15" ht="15.75" customHeight="1">
      <c r="C107" s="111">
        <v>42060</v>
      </c>
      <c r="D107" s="34">
        <v>1551.3</v>
      </c>
      <c r="G107" s="214" t="s">
        <v>151</v>
      </c>
      <c r="H107" s="214"/>
      <c r="I107" s="106">
        <v>8909.73221</v>
      </c>
      <c r="J107" s="215"/>
      <c r="K107" s="215"/>
      <c r="L107" s="215"/>
      <c r="M107" s="215"/>
      <c r="N107" s="208"/>
      <c r="O107" s="208"/>
    </row>
    <row r="108" spans="7:13" ht="15.75" customHeight="1">
      <c r="G108" s="216" t="s">
        <v>155</v>
      </c>
      <c r="H108" s="216"/>
      <c r="I108" s="103">
        <v>0</v>
      </c>
      <c r="J108" s="210"/>
      <c r="K108" s="210"/>
      <c r="L108" s="210"/>
      <c r="M108" s="210"/>
    </row>
    <row r="109" spans="2:13" ht="18.75" customHeight="1">
      <c r="B109" s="217" t="s">
        <v>160</v>
      </c>
      <c r="C109" s="218"/>
      <c r="D109" s="108">
        <f>138305956.27/1000</f>
        <v>138305.95627000002</v>
      </c>
      <c r="E109" s="73"/>
      <c r="F109" s="156" t="s">
        <v>147</v>
      </c>
      <c r="G109" s="214" t="s">
        <v>149</v>
      </c>
      <c r="H109" s="214"/>
      <c r="I109" s="107">
        <v>129396.23</v>
      </c>
      <c r="J109" s="210"/>
      <c r="K109" s="210"/>
      <c r="L109" s="210"/>
      <c r="M109" s="210"/>
    </row>
    <row r="110" spans="7:12" ht="9.75" customHeight="1">
      <c r="G110" s="209"/>
      <c r="H110" s="209"/>
      <c r="I110" s="90"/>
      <c r="J110" s="91"/>
      <c r="K110" s="91"/>
      <c r="L110" s="91"/>
    </row>
    <row r="111" spans="2:12" ht="22.5" customHeight="1" hidden="1">
      <c r="B111" s="219" t="s">
        <v>167</v>
      </c>
      <c r="C111" s="220"/>
      <c r="D111" s="110">
        <v>0</v>
      </c>
      <c r="E111" s="70" t="s">
        <v>104</v>
      </c>
      <c r="G111" s="209"/>
      <c r="H111" s="209"/>
      <c r="I111" s="90"/>
      <c r="J111" s="91"/>
      <c r="K111" s="91"/>
      <c r="L111" s="91"/>
    </row>
    <row r="112" spans="4:15" ht="15.75">
      <c r="D112" s="105"/>
      <c r="N112" s="209"/>
      <c r="O112" s="209"/>
    </row>
    <row r="113" spans="4:15" ht="15.75">
      <c r="D113" s="104"/>
      <c r="I113" s="34"/>
      <c r="N113" s="221"/>
      <c r="O113" s="221"/>
    </row>
    <row r="114" spans="14:15" ht="15.75">
      <c r="N114" s="209"/>
      <c r="O114" s="209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48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181" t="s">
        <v>193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17"/>
      <c r="R1" s="118"/>
    </row>
    <row r="2" spans="2:18" s="1" customFormat="1" ht="15.75" customHeight="1">
      <c r="B2" s="182"/>
      <c r="C2" s="182"/>
      <c r="D2" s="18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83"/>
      <c r="B3" s="185" t="s">
        <v>205</v>
      </c>
      <c r="C3" s="186" t="s">
        <v>0</v>
      </c>
      <c r="D3" s="187" t="s">
        <v>216</v>
      </c>
      <c r="E3" s="40"/>
      <c r="F3" s="188" t="s">
        <v>107</v>
      </c>
      <c r="G3" s="189"/>
      <c r="H3" s="189"/>
      <c r="I3" s="189"/>
      <c r="J3" s="190"/>
      <c r="K3" s="114"/>
      <c r="L3" s="114"/>
      <c r="M3" s="191" t="s">
        <v>220</v>
      </c>
      <c r="N3" s="194" t="s">
        <v>175</v>
      </c>
      <c r="O3" s="194"/>
      <c r="P3" s="194"/>
      <c r="Q3" s="194"/>
      <c r="R3" s="194"/>
    </row>
    <row r="4" spans="1:18" ht="22.5" customHeight="1">
      <c r="A4" s="183"/>
      <c r="B4" s="185"/>
      <c r="C4" s="186"/>
      <c r="D4" s="187"/>
      <c r="E4" s="195" t="s">
        <v>219</v>
      </c>
      <c r="F4" s="199" t="s">
        <v>116</v>
      </c>
      <c r="G4" s="201" t="s">
        <v>173</v>
      </c>
      <c r="H4" s="222" t="s">
        <v>174</v>
      </c>
      <c r="I4" s="224" t="s">
        <v>217</v>
      </c>
      <c r="J4" s="227" t="s">
        <v>218</v>
      </c>
      <c r="K4" s="116" t="s">
        <v>172</v>
      </c>
      <c r="L4" s="121" t="s">
        <v>171</v>
      </c>
      <c r="M4" s="192"/>
      <c r="N4" s="211" t="s">
        <v>194</v>
      </c>
      <c r="O4" s="224" t="s">
        <v>136</v>
      </c>
      <c r="P4" s="194" t="s">
        <v>135</v>
      </c>
      <c r="Q4" s="122" t="s">
        <v>172</v>
      </c>
      <c r="R4" s="123" t="s">
        <v>171</v>
      </c>
    </row>
    <row r="5" spans="1:19" ht="92.25" customHeight="1">
      <c r="A5" s="184"/>
      <c r="B5" s="185"/>
      <c r="C5" s="186"/>
      <c r="D5" s="187"/>
      <c r="E5" s="196"/>
      <c r="F5" s="200"/>
      <c r="G5" s="202"/>
      <c r="H5" s="223"/>
      <c r="I5" s="225"/>
      <c r="J5" s="228"/>
      <c r="K5" s="197" t="s">
        <v>188</v>
      </c>
      <c r="L5" s="198"/>
      <c r="M5" s="193"/>
      <c r="N5" s="212"/>
      <c r="O5" s="225"/>
      <c r="P5" s="194"/>
      <c r="Q5" s="197" t="s">
        <v>176</v>
      </c>
      <c r="R5" s="19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07"/>
      <c r="H102" s="207"/>
      <c r="I102" s="207"/>
      <c r="J102" s="207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08"/>
      <c r="O103" s="208"/>
    </row>
    <row r="104" spans="3:15" ht="15.75">
      <c r="C104" s="111">
        <v>42033</v>
      </c>
      <c r="D104" s="34">
        <v>2896.5</v>
      </c>
      <c r="F104" s="155" t="s">
        <v>166</v>
      </c>
      <c r="G104" s="214" t="s">
        <v>151</v>
      </c>
      <c r="H104" s="214"/>
      <c r="I104" s="106">
        <f>'січень '!I139</f>
        <v>8909.733</v>
      </c>
      <c r="J104" s="226" t="s">
        <v>161</v>
      </c>
      <c r="K104" s="226"/>
      <c r="L104" s="226"/>
      <c r="M104" s="226"/>
      <c r="N104" s="208"/>
      <c r="O104" s="208"/>
    </row>
    <row r="105" spans="3:15" ht="15.75">
      <c r="C105" s="111">
        <v>42032</v>
      </c>
      <c r="D105" s="34">
        <v>2838.1</v>
      </c>
      <c r="G105" s="216" t="s">
        <v>155</v>
      </c>
      <c r="H105" s="216"/>
      <c r="I105" s="103">
        <f>'січень '!I140</f>
        <v>0</v>
      </c>
      <c r="J105" s="229" t="s">
        <v>162</v>
      </c>
      <c r="K105" s="229"/>
      <c r="L105" s="229"/>
      <c r="M105" s="229"/>
      <c r="N105" s="208"/>
      <c r="O105" s="208"/>
    </row>
    <row r="106" spans="7:13" ht="15.75" customHeight="1">
      <c r="G106" s="214" t="s">
        <v>148</v>
      </c>
      <c r="H106" s="214"/>
      <c r="I106" s="103">
        <f>'січень '!I141</f>
        <v>0</v>
      </c>
      <c r="J106" s="226" t="s">
        <v>163</v>
      </c>
      <c r="K106" s="226"/>
      <c r="L106" s="226"/>
      <c r="M106" s="226"/>
    </row>
    <row r="107" spans="2:13" ht="18.75" customHeight="1">
      <c r="B107" s="217" t="s">
        <v>160</v>
      </c>
      <c r="C107" s="218"/>
      <c r="D107" s="108">
        <f>'січень '!D142</f>
        <v>132375.63</v>
      </c>
      <c r="E107" s="73"/>
      <c r="F107" s="156" t="s">
        <v>147</v>
      </c>
      <c r="G107" s="214" t="s">
        <v>149</v>
      </c>
      <c r="H107" s="214"/>
      <c r="I107" s="107">
        <f>'січень '!I142</f>
        <v>123465.893</v>
      </c>
      <c r="J107" s="226" t="s">
        <v>164</v>
      </c>
      <c r="K107" s="226"/>
      <c r="L107" s="226"/>
      <c r="M107" s="226"/>
    </row>
    <row r="108" spans="7:12" ht="9.75" customHeight="1">
      <c r="G108" s="209"/>
      <c r="H108" s="209"/>
      <c r="I108" s="90"/>
      <c r="J108" s="91"/>
      <c r="K108" s="91"/>
      <c r="L108" s="91"/>
    </row>
    <row r="109" spans="2:12" ht="22.5" customHeight="1" hidden="1">
      <c r="B109" s="219" t="s">
        <v>167</v>
      </c>
      <c r="C109" s="220"/>
      <c r="D109" s="110">
        <v>0</v>
      </c>
      <c r="E109" s="70" t="s">
        <v>104</v>
      </c>
      <c r="G109" s="209"/>
      <c r="H109" s="209"/>
      <c r="I109" s="90"/>
      <c r="J109" s="91"/>
      <c r="K109" s="91"/>
      <c r="L109" s="91"/>
    </row>
    <row r="110" spans="4:15" ht="15.75">
      <c r="D110" s="105"/>
      <c r="N110" s="209"/>
      <c r="O110" s="209"/>
    </row>
    <row r="111" spans="4:15" ht="15.75">
      <c r="D111" s="104"/>
      <c r="I111" s="34"/>
      <c r="N111" s="221"/>
      <c r="O111" s="221"/>
    </row>
    <row r="112" spans="14:15" ht="15.75">
      <c r="N112" s="209"/>
      <c r="O112" s="209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18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181" t="s">
        <v>193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17"/>
      <c r="R1" s="118"/>
    </row>
    <row r="2" spans="2:18" s="1" customFormat="1" ht="15.75" customHeight="1">
      <c r="B2" s="182"/>
      <c r="C2" s="182"/>
      <c r="D2" s="18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83"/>
      <c r="B3" s="185" t="s">
        <v>203</v>
      </c>
      <c r="C3" s="186" t="s">
        <v>0</v>
      </c>
      <c r="D3" s="187" t="s">
        <v>190</v>
      </c>
      <c r="E3" s="40"/>
      <c r="F3" s="188" t="s">
        <v>107</v>
      </c>
      <c r="G3" s="189"/>
      <c r="H3" s="189"/>
      <c r="I3" s="189"/>
      <c r="J3" s="190"/>
      <c r="K3" s="114"/>
      <c r="L3" s="114"/>
      <c r="M3" s="191" t="s">
        <v>187</v>
      </c>
      <c r="N3" s="194" t="s">
        <v>175</v>
      </c>
      <c r="O3" s="194"/>
      <c r="P3" s="194"/>
      <c r="Q3" s="194"/>
      <c r="R3" s="194"/>
    </row>
    <row r="4" spans="1:18" ht="22.5" customHeight="1">
      <c r="A4" s="183"/>
      <c r="B4" s="185"/>
      <c r="C4" s="186"/>
      <c r="D4" s="187"/>
      <c r="E4" s="195" t="s">
        <v>153</v>
      </c>
      <c r="F4" s="199" t="s">
        <v>116</v>
      </c>
      <c r="G4" s="201" t="s">
        <v>173</v>
      </c>
      <c r="H4" s="222" t="s">
        <v>174</v>
      </c>
      <c r="I4" s="224" t="s">
        <v>186</v>
      </c>
      <c r="J4" s="227" t="s">
        <v>189</v>
      </c>
      <c r="K4" s="116" t="s">
        <v>172</v>
      </c>
      <c r="L4" s="121" t="s">
        <v>171</v>
      </c>
      <c r="M4" s="192"/>
      <c r="N4" s="211" t="s">
        <v>194</v>
      </c>
      <c r="O4" s="224" t="s">
        <v>136</v>
      </c>
      <c r="P4" s="194" t="s">
        <v>135</v>
      </c>
      <c r="Q4" s="122" t="s">
        <v>172</v>
      </c>
      <c r="R4" s="123" t="s">
        <v>171</v>
      </c>
    </row>
    <row r="5" spans="1:19" ht="92.25" customHeight="1">
      <c r="A5" s="184"/>
      <c r="B5" s="185"/>
      <c r="C5" s="186"/>
      <c r="D5" s="187"/>
      <c r="E5" s="196"/>
      <c r="F5" s="200"/>
      <c r="G5" s="202"/>
      <c r="H5" s="223"/>
      <c r="I5" s="225"/>
      <c r="J5" s="228"/>
      <c r="K5" s="197" t="s">
        <v>188</v>
      </c>
      <c r="L5" s="198"/>
      <c r="M5" s="193"/>
      <c r="N5" s="212"/>
      <c r="O5" s="225"/>
      <c r="P5" s="194"/>
      <c r="Q5" s="197" t="s">
        <v>176</v>
      </c>
      <c r="R5" s="198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07"/>
      <c r="H137" s="207"/>
      <c r="I137" s="207"/>
      <c r="J137" s="207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08"/>
      <c r="O138" s="208"/>
    </row>
    <row r="139" spans="3:15" ht="15.75">
      <c r="C139" s="111">
        <v>42033</v>
      </c>
      <c r="D139" s="34">
        <v>2896.5</v>
      </c>
      <c r="F139" s="155" t="s">
        <v>166</v>
      </c>
      <c r="G139" s="214" t="s">
        <v>151</v>
      </c>
      <c r="H139" s="214"/>
      <c r="I139" s="106">
        <f>8909.733</f>
        <v>8909.733</v>
      </c>
      <c r="J139" s="226" t="s">
        <v>161</v>
      </c>
      <c r="K139" s="226"/>
      <c r="L139" s="226"/>
      <c r="M139" s="226"/>
      <c r="N139" s="208"/>
      <c r="O139" s="208"/>
    </row>
    <row r="140" spans="3:15" ht="15.75">
      <c r="C140" s="111">
        <v>42032</v>
      </c>
      <c r="D140" s="34">
        <v>2838.1</v>
      </c>
      <c r="G140" s="216" t="s">
        <v>155</v>
      </c>
      <c r="H140" s="216"/>
      <c r="I140" s="103">
        <v>0</v>
      </c>
      <c r="J140" s="229" t="s">
        <v>162</v>
      </c>
      <c r="K140" s="229"/>
      <c r="L140" s="229"/>
      <c r="M140" s="229"/>
      <c r="N140" s="208"/>
      <c r="O140" s="208"/>
    </row>
    <row r="141" spans="7:13" ht="15.75" customHeight="1">
      <c r="G141" s="214" t="s">
        <v>148</v>
      </c>
      <c r="H141" s="214"/>
      <c r="I141" s="103">
        <v>0</v>
      </c>
      <c r="J141" s="226" t="s">
        <v>163</v>
      </c>
      <c r="K141" s="226"/>
      <c r="L141" s="226"/>
      <c r="M141" s="226"/>
    </row>
    <row r="142" spans="2:13" ht="18.75" customHeight="1">
      <c r="B142" s="217" t="s">
        <v>160</v>
      </c>
      <c r="C142" s="218"/>
      <c r="D142" s="108">
        <f>132375.63</f>
        <v>132375.63</v>
      </c>
      <c r="E142" s="73"/>
      <c r="F142" s="156" t="s">
        <v>147</v>
      </c>
      <c r="G142" s="214" t="s">
        <v>149</v>
      </c>
      <c r="H142" s="214"/>
      <c r="I142" s="107">
        <f>123465.893</f>
        <v>123465.893</v>
      </c>
      <c r="J142" s="226" t="s">
        <v>164</v>
      </c>
      <c r="K142" s="226"/>
      <c r="L142" s="226"/>
      <c r="M142" s="226"/>
    </row>
    <row r="143" spans="7:12" ht="9.75" customHeight="1">
      <c r="G143" s="209"/>
      <c r="H143" s="209"/>
      <c r="I143" s="90"/>
      <c r="J143" s="91"/>
      <c r="K143" s="91"/>
      <c r="L143" s="91"/>
    </row>
    <row r="144" spans="2:12" ht="22.5" customHeight="1" hidden="1">
      <c r="B144" s="219" t="s">
        <v>167</v>
      </c>
      <c r="C144" s="220"/>
      <c r="D144" s="110">
        <v>0</v>
      </c>
      <c r="E144" s="70" t="s">
        <v>104</v>
      </c>
      <c r="G144" s="209"/>
      <c r="H144" s="209"/>
      <c r="I144" s="90"/>
      <c r="J144" s="91"/>
      <c r="K144" s="91"/>
      <c r="L144" s="91"/>
    </row>
    <row r="145" spans="4:15" ht="15.75">
      <c r="D145" s="105"/>
      <c r="N145" s="209"/>
      <c r="O145" s="209"/>
    </row>
    <row r="146" spans="4:15" ht="15.75">
      <c r="D146" s="104"/>
      <c r="I146" s="34"/>
      <c r="N146" s="221"/>
      <c r="O146" s="221"/>
    </row>
    <row r="147" spans="14:15" ht="15.75">
      <c r="N147" s="209"/>
      <c r="O147" s="209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2015-03-25T08:31:29Z</cp:lastPrinted>
  <dcterms:created xsi:type="dcterms:W3CDTF">2003-07-28T11:27:56Z</dcterms:created>
  <dcterms:modified xsi:type="dcterms:W3CDTF">2015-03-25T10:11:54Z</dcterms:modified>
  <cp:category/>
  <cp:version/>
  <cp:contentType/>
  <cp:contentStatus/>
</cp:coreProperties>
</file>